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<sst xmlns="http://schemas.openxmlformats.org/spreadsheetml/2006/main" count="123" uniqueCount="120">
  <si>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</si>
  <si>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</si>
  <si>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</si>
  <si>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</si>
  <si>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</si>
  <si>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</si>
  <si>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</si>
  <si>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</si>
  <si>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</si>
  <si>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</si>
  <si>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</si>
  <si>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</si>
  <si>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</si>
  <si>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</si>
  <si>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</si>
  <si>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</si>
  <si>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</si>
  <si>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</si>
  <si>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</si>
  <si>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</si>
  <si>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</si>
  <si>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</si>
  <si>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</si>
  <si>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</si>
  <si>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</si>
  <si>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</si>
  <si>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</si>
  <si>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</si>
  <si>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</si>
  <si>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</si>
  <si>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</si>
  <si>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</si>
  <si>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</si>
  <si>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</si>
  <si>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</si>
  <si>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</si>
  <si>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</si>
  <si>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</si>
  <si>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</si>
  <si>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</si>
  <si>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</si>
  <si>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</si>
  <si>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</si>
  <si>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</si>
  <si>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</si>
  <si>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</si>
  <si>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</si>
  <si>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</si>
  <si>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</si>
  <si>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</si>
  <si>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</si>
  <si>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</si>
  <si>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</si>
  <si>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</si>
  <si>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</si>
  <si>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</si>
  <si>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</si>
  <si>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</si>
  <si>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</si>
  <si>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</si>
  <si>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</si>
  <si>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</si>
  <si>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</si>
  <si>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</si>
  <si>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</si>
  <si>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</si>
  <si>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</si>
  <si>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</si>
  <si>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</si>
  <si>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</si>
  <si>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</si>
  <si>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</si>
  <si>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</si>
  <si>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</si>
  <si>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</si>
  <si>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</si>
  <si>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</si>
  <si>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</si>
  <si>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</si>
  <si>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</si>
  <si>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</si>
  <si>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</si>
  <si>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</si>
  <si>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</si>
  <si>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</si>
  <si>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</si>
  <si>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</si>
  <si>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</si>
  <si>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</si>
  <si>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</si>
  <si>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</si>
  <si>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</si>
  <si>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</si>
  <si>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</si>
  <si>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</si>
  <si>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</si>
  <si>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</si>
  <si>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</si>
  <si>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</si>
  <si>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</si>
  <si>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</si>
  <si>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</si>
  <si>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</si>
  <si>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</si>
  <si>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</si>
  <si>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</si>
  <si>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</si>
  <si>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</si>
  <si>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</si>
  <si>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</si>
  <si>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</si>
  <si>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</si>
  <si>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</si>
  <si>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</si>
  <si>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</si>
  <si>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</si>
  <si>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</si>
  <si>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</si>
  <si>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</si>
  <si>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Профінансовано станом на 20.05.2016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</si>
</sst>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60" zoomScaleNormal="70" zoomScalePageLayoutView="0" workbookViewId="0" topLeftCell="A1">
      <pane ySplit="7" topLeftCell="BM90" activePane="bottomLeft" state="frozen"/>
      <selection pane="topLeft" activeCell="A1" sqref="A1"/>
      <selection pane="bottomLeft" activeCell="Y1" sqref="Y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17.33203125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92" t="s">
        <v>11</v>
      </c>
      <c r="B1" s="92"/>
      <c r="C1" s="92"/>
      <c r="D1" s="92"/>
      <c r="E1" s="92"/>
      <c r="F1" s="92"/>
      <c r="G1" s="92"/>
      <c r="H1" s="92"/>
    </row>
    <row r="2" spans="1:8" ht="20.25" customHeight="1">
      <c r="A2" s="93" t="s">
        <v>12</v>
      </c>
      <c r="B2" s="93"/>
      <c r="C2" s="93"/>
      <c r="D2" s="93"/>
      <c r="E2" s="93"/>
      <c r="F2" s="93"/>
      <c r="G2" s="93"/>
      <c r="H2" s="93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5" t="s">
        <v>8</v>
      </c>
      <c r="B4" s="12"/>
      <c r="C4" s="95" t="s">
        <v>14</v>
      </c>
      <c r="D4" s="94" t="s">
        <v>15</v>
      </c>
      <c r="E4" s="94" t="s">
        <v>0</v>
      </c>
      <c r="F4" s="94" t="s">
        <v>1</v>
      </c>
      <c r="G4" s="14" t="s">
        <v>2</v>
      </c>
      <c r="H4" s="94" t="s">
        <v>119</v>
      </c>
      <c r="I4" s="84" t="s">
        <v>42</v>
      </c>
      <c r="J4" s="84" t="s">
        <v>113</v>
      </c>
      <c r="K4" s="89" t="s">
        <v>114</v>
      </c>
      <c r="L4" s="84" t="s">
        <v>43</v>
      </c>
      <c r="M4" s="84" t="s">
        <v>44</v>
      </c>
      <c r="N4" s="84" t="s">
        <v>45</v>
      </c>
      <c r="O4" s="84" t="s">
        <v>46</v>
      </c>
      <c r="P4" s="84" t="s">
        <v>47</v>
      </c>
      <c r="Q4" s="84" t="s">
        <v>48</v>
      </c>
      <c r="R4" s="84" t="s">
        <v>49</v>
      </c>
      <c r="S4" s="84" t="s">
        <v>50</v>
      </c>
      <c r="T4" s="84" t="s">
        <v>51</v>
      </c>
      <c r="U4" s="84" t="s">
        <v>52</v>
      </c>
      <c r="V4" s="84" t="s">
        <v>53</v>
      </c>
      <c r="W4" s="84" t="s">
        <v>54</v>
      </c>
      <c r="X4" s="84" t="s">
        <v>55</v>
      </c>
    </row>
    <row r="5" spans="1:24" ht="55.5" customHeight="1">
      <c r="A5" s="95"/>
      <c r="B5" s="15" t="s">
        <v>9</v>
      </c>
      <c r="C5" s="95"/>
      <c r="D5" s="94"/>
      <c r="E5" s="94"/>
      <c r="F5" s="94"/>
      <c r="G5" s="13" t="s">
        <v>7</v>
      </c>
      <c r="H5" s="94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5"/>
      <c r="K6" s="53"/>
    </row>
    <row r="7" spans="1:25" s="16" customFormat="1" ht="19.5" customHeight="1">
      <c r="A7" s="86" t="s">
        <v>16</v>
      </c>
      <c r="B7" s="87"/>
      <c r="C7" s="87"/>
      <c r="D7" s="87"/>
      <c r="E7" s="87"/>
      <c r="F7" s="87"/>
      <c r="G7" s="87"/>
      <c r="H7" s="87"/>
      <c r="I7" s="88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120000258.86</v>
      </c>
      <c r="E8" s="20">
        <f>E9</f>
        <v>31136618.86</v>
      </c>
      <c r="F8" s="20">
        <f>F23</f>
        <v>88863640</v>
      </c>
      <c r="G8" s="20">
        <f>G23</f>
        <v>88863640</v>
      </c>
      <c r="H8" s="20">
        <f>H9+H23</f>
        <v>27724707.54</v>
      </c>
      <c r="I8" s="73">
        <f>H8/D8*100</f>
        <v>23.10387311109505</v>
      </c>
      <c r="J8" s="75"/>
      <c r="K8" s="70">
        <f aca="true" t="shared" si="0" ref="K8:X8">K9+K15</f>
        <v>6112679.82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3349354.86</v>
      </c>
      <c r="Q8" s="70">
        <f t="shared" si="0"/>
        <v>5800000</v>
      </c>
      <c r="R8" s="70">
        <f t="shared" si="0"/>
        <v>2751184</v>
      </c>
      <c r="S8" s="70">
        <f t="shared" si="0"/>
        <v>2788938</v>
      </c>
      <c r="T8" s="70">
        <f t="shared" si="0"/>
        <v>1884326</v>
      </c>
      <c r="U8" s="70">
        <f t="shared" si="0"/>
        <v>650000</v>
      </c>
      <c r="V8" s="70">
        <f t="shared" si="0"/>
        <v>150000</v>
      </c>
      <c r="W8" s="70">
        <f t="shared" si="0"/>
        <v>150000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10849491.04</v>
      </c>
      <c r="I9" s="23">
        <f>H9/D9*100</f>
        <v>34.844795090895104</v>
      </c>
      <c r="J9" s="77">
        <f>(H10+H12+H13+H14)/(L9+M9+N9+O9+P9)*100</f>
        <v>63.03634883840288</v>
      </c>
      <c r="K9" s="23">
        <f>L9+M9+N9+O9+P9-H10-H11-H12-H13-H14</f>
        <v>4132696.9399999995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2000000+3000000-1000000-2432381.14</f>
        <v>1567618.8599999999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</f>
        <v>4442723.78</v>
      </c>
      <c r="I10" s="50">
        <f>H10/D10*100</f>
        <v>32.431007956785166</v>
      </c>
      <c r="J10" s="76"/>
      <c r="K10" s="55">
        <f>E10-H10</f>
        <v>9256276.219999999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</f>
        <v>488323</v>
      </c>
      <c r="I13" s="50">
        <f t="shared" si="1"/>
        <v>24.416150000000002</v>
      </c>
      <c r="J13" s="76"/>
      <c r="K13" s="55">
        <f>E13-H13</f>
        <v>1511677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3801753.1199999996</v>
      </c>
      <c r="I15" s="50">
        <f t="shared" si="1"/>
        <v>31.71907456385526</v>
      </c>
      <c r="J15" s="77">
        <f>H15/(L15+M15+N15+O15+P15)*100</f>
        <v>65.75452632219803</v>
      </c>
      <c r="K15" s="56">
        <f>L15+M15+N15+O15+P15-H15</f>
        <v>1979982.8800000004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1000000+1000000-1000000+756736+25000</f>
        <v>1781736</v>
      </c>
      <c r="Q15" s="25">
        <f>1000000+1000000-200000</f>
        <v>1800000</v>
      </c>
      <c r="R15" s="25">
        <f>410700+600000</f>
        <v>1010700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v>150000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</f>
        <v>1874686.82</v>
      </c>
      <c r="I16" s="51">
        <f>H16/D16*100</f>
        <v>45.796673262489314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</f>
        <v>273136.60000000003</v>
      </c>
      <c r="I19" s="51">
        <f t="shared" si="1"/>
        <v>33.345940666585285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1">
        <f t="shared" si="1"/>
        <v>2.5163322185061316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SUM(D24:D47)</f>
        <v>88863640</v>
      </c>
      <c r="E23" s="30"/>
      <c r="F23" s="30">
        <f>SUM(F24:F47)</f>
        <v>88863640</v>
      </c>
      <c r="G23" s="30">
        <f>SUM(G24:G47)</f>
        <v>88863640</v>
      </c>
      <c r="H23" s="30">
        <f>SUM(H24:H47)</f>
        <v>16875216.5</v>
      </c>
      <c r="I23" s="49">
        <f>H23/D23*100</f>
        <v>18.990012675600504</v>
      </c>
      <c r="J23" s="79">
        <f>H23/(L23+M23+N23+O23+P23)*100</f>
        <v>40.136746459794104</v>
      </c>
      <c r="K23" s="56">
        <f>L23+M23+N23+O23+P23-H23</f>
        <v>25169089.5</v>
      </c>
      <c r="L23" s="68">
        <f aca="true" t="shared" si="3" ref="L23:X23">SUM(L24:L47)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21417504.009999998</v>
      </c>
      <c r="Q23" s="68">
        <f t="shared" si="3"/>
        <v>4583135.38</v>
      </c>
      <c r="R23" s="68">
        <f t="shared" si="3"/>
        <v>22193192.62</v>
      </c>
      <c r="S23" s="68">
        <f t="shared" si="3"/>
        <v>3183333</v>
      </c>
      <c r="T23" s="68">
        <f t="shared" si="3"/>
        <v>1353334</v>
      </c>
      <c r="U23" s="68">
        <f t="shared" si="3"/>
        <v>7638629.57</v>
      </c>
      <c r="V23" s="68">
        <f t="shared" si="3"/>
        <v>3619370.4299999997</v>
      </c>
      <c r="W23" s="68">
        <f t="shared" si="3"/>
        <v>4248339</v>
      </c>
      <c r="X23" s="68">
        <f t="shared" si="3"/>
        <v>88863640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7">H24/(L24+M24+N24+O24+P24)*100</f>
        <v>85</v>
      </c>
      <c r="K24" s="56">
        <f aca="true" t="shared" si="5" ref="K24:K47">L24+M24+N24+O24+P24-H24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4">F25</f>
        <v>90000</v>
      </c>
      <c r="E25" s="30"/>
      <c r="F25" s="33">
        <f aca="true" t="shared" si="7" ref="F25:F44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7">SUM(L25:W25)</f>
        <v>90000</v>
      </c>
      <c r="Y25" s="81">
        <f aca="true" t="shared" si="9" ref="Y25:Y85">D25-X25</f>
        <v>0</v>
      </c>
    </row>
    <row r="26" spans="1:25" ht="27" customHeight="1">
      <c r="A26" s="1"/>
      <c r="B26" s="21"/>
      <c r="C26" s="58" t="s">
        <v>109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117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>
        <f t="shared" si="4"/>
        <v>0</v>
      </c>
      <c r="K30" s="56">
        <f t="shared" si="5"/>
        <v>400000</v>
      </c>
      <c r="L30" s="57"/>
      <c r="M30" s="45"/>
      <c r="N30" s="45"/>
      <c r="O30" s="45"/>
      <c r="P30" s="45">
        <f>400000</f>
        <v>400000</v>
      </c>
      <c r="Q30" s="45">
        <f>300000</f>
        <v>300000</v>
      </c>
      <c r="R30" s="45"/>
      <c r="S30" s="45"/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82" t="s">
        <v>115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200000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f>250000+350000</f>
        <v>600000</v>
      </c>
      <c r="I39" s="50">
        <f>H39/D39*100</f>
        <v>40.9109504977499</v>
      </c>
      <c r="J39" s="79">
        <f t="shared" si="4"/>
        <v>46.81647940074906</v>
      </c>
      <c r="K39" s="56">
        <f t="shared" si="5"/>
        <v>681600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111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</f>
        <v>6279798.82</v>
      </c>
      <c r="I40" s="50">
        <f>H40/D40*100</f>
        <v>28.694481801266985</v>
      </c>
      <c r="J40" s="79">
        <f t="shared" si="4"/>
        <v>39.99692001111288</v>
      </c>
      <c r="K40" s="56">
        <f t="shared" si="5"/>
        <v>9420907.18</v>
      </c>
      <c r="L40" s="57"/>
      <c r="M40" s="45"/>
      <c r="N40" s="45"/>
      <c r="O40" s="45">
        <v>3690333</v>
      </c>
      <c r="P40" s="45">
        <f>2675333+9335040</f>
        <v>12010373</v>
      </c>
      <c r="Q40" s="45"/>
      <c r="R40" s="45">
        <f>2700000</f>
        <v>2700000</v>
      </c>
      <c r="S40" s="45">
        <f>2300000</f>
        <v>2300000</v>
      </c>
      <c r="T40" s="45"/>
      <c r="U40" s="45">
        <f>634334+420000</f>
        <v>1054334</v>
      </c>
      <c r="V40" s="45">
        <f>130000</f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</f>
        <v>108000</v>
      </c>
      <c r="I41" s="50">
        <f>H41/D41*100</f>
        <v>2.16</v>
      </c>
      <c r="J41" s="79">
        <f t="shared" si="4"/>
        <v>2.7</v>
      </c>
      <c r="K41" s="56">
        <f t="shared" si="5"/>
        <v>3892000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0">
        <f>H42/D42*100</f>
        <v>40.08</v>
      </c>
      <c r="J42" s="79">
        <f t="shared" si="4"/>
        <v>50.1</v>
      </c>
      <c r="K42" s="56">
        <f t="shared" si="5"/>
        <v>1996000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116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>
        <f t="shared" si="4"/>
        <v>0</v>
      </c>
      <c r="K43" s="56">
        <f t="shared" si="5"/>
        <v>1000000</v>
      </c>
      <c r="L43" s="57"/>
      <c r="M43" s="45"/>
      <c r="N43" s="45"/>
      <c r="O43" s="45"/>
      <c r="P43" s="45">
        <f>1000000</f>
        <v>1000000</v>
      </c>
      <c r="Q43" s="45">
        <f>500000</f>
        <v>500000</v>
      </c>
      <c r="R43" s="45"/>
      <c r="S43" s="45"/>
      <c r="T43" s="45"/>
      <c r="U43" s="45"/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>F45</f>
        <v>6700000</v>
      </c>
      <c r="E45" s="27"/>
      <c r="F45" s="25">
        <f>G45</f>
        <v>6700000</v>
      </c>
      <c r="G45" s="45">
        <v>6700000</v>
      </c>
      <c r="H45" s="25">
        <f>3263175+1196936+1083633.68</f>
        <v>5543744.68</v>
      </c>
      <c r="I45" s="50">
        <f>H45/D45*100</f>
        <v>82.74245791044775</v>
      </c>
      <c r="J45" s="79">
        <f t="shared" si="4"/>
        <v>82.74245791044775</v>
      </c>
      <c r="K45" s="56">
        <f t="shared" si="5"/>
        <v>1156255.3200000003</v>
      </c>
      <c r="L45" s="64"/>
      <c r="M45" s="45"/>
      <c r="N45" s="45">
        <v>4000000</v>
      </c>
      <c r="O45" s="45">
        <v>2700000</v>
      </c>
      <c r="P45" s="45"/>
      <c r="Q45" s="45"/>
      <c r="R45" s="64"/>
      <c r="S45" s="64"/>
      <c r="T45" s="64"/>
      <c r="U45" s="64"/>
      <c r="V45" s="64"/>
      <c r="W45" s="64"/>
      <c r="X45" s="67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>F46</f>
        <v>5000000</v>
      </c>
      <c r="E46" s="27"/>
      <c r="F46" s="25">
        <f>G46</f>
        <v>5000000</v>
      </c>
      <c r="G46" s="45">
        <f>10000000-5000000</f>
        <v>5000000</v>
      </c>
      <c r="H46" s="25">
        <f>43726+73807</f>
        <v>117533</v>
      </c>
      <c r="I46" s="50">
        <f>H46/D46*100</f>
        <v>2.35066</v>
      </c>
      <c r="J46" s="79">
        <f t="shared" si="4"/>
        <v>3.4568529411764706</v>
      </c>
      <c r="K46" s="56">
        <f t="shared" si="5"/>
        <v>3282467</v>
      </c>
      <c r="L46" s="64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4">
        <f>4300000-2700000</f>
        <v>1600000</v>
      </c>
      <c r="S46" s="64">
        <f>2300000-2300000</f>
        <v>0</v>
      </c>
      <c r="T46" s="64"/>
      <c r="U46" s="64"/>
      <c r="V46" s="64"/>
      <c r="W46" s="64"/>
      <c r="X46" s="67">
        <f t="shared" si="8"/>
        <v>5000000</v>
      </c>
      <c r="Y46" s="81">
        <f t="shared" si="9"/>
        <v>0</v>
      </c>
    </row>
    <row r="47" spans="1:25" ht="22.5" customHeight="1">
      <c r="A47" s="1"/>
      <c r="B47" s="59"/>
      <c r="C47" s="58" t="s">
        <v>72</v>
      </c>
      <c r="D47" s="25">
        <f>F47</f>
        <v>7000000</v>
      </c>
      <c r="E47" s="27"/>
      <c r="F47" s="25">
        <f>G47</f>
        <v>7000000</v>
      </c>
      <c r="G47" s="45">
        <v>7000000</v>
      </c>
      <c r="H47" s="25">
        <f>73140</f>
        <v>73140</v>
      </c>
      <c r="I47" s="50">
        <f>H47/D47*100</f>
        <v>1.044857142857143</v>
      </c>
      <c r="J47" s="79">
        <f t="shared" si="4"/>
        <v>8.11764705882353</v>
      </c>
      <c r="K47" s="56">
        <f t="shared" si="5"/>
        <v>827859.9999999998</v>
      </c>
      <c r="L47" s="64"/>
      <c r="M47" s="64"/>
      <c r="N47" s="64"/>
      <c r="O47" s="64">
        <f>755868.99-512000</f>
        <v>243868.99</v>
      </c>
      <c r="P47" s="64">
        <f>1600000+2244131.01-2087000-1100000</f>
        <v>657131.0099999998</v>
      </c>
      <c r="Q47" s="64">
        <f>1000000+1000000+261334+375000</f>
        <v>2636334</v>
      </c>
      <c r="R47" s="64">
        <f>400000+512000+201333+375000</f>
        <v>1488333</v>
      </c>
      <c r="S47" s="64">
        <f>733333+150000</f>
        <v>883333</v>
      </c>
      <c r="T47" s="64">
        <f>833334+200000</f>
        <v>1033334</v>
      </c>
      <c r="U47" s="64">
        <v>57666</v>
      </c>
      <c r="V47" s="64"/>
      <c r="W47" s="64"/>
      <c r="X47" s="67">
        <f t="shared" si="8"/>
        <v>7000000</v>
      </c>
      <c r="Y47" s="81">
        <f t="shared" si="9"/>
        <v>0</v>
      </c>
    </row>
    <row r="48" spans="1:25" s="16" customFormat="1" ht="24" customHeight="1">
      <c r="A48" s="86" t="s">
        <v>30</v>
      </c>
      <c r="B48" s="87"/>
      <c r="C48" s="87"/>
      <c r="D48" s="87"/>
      <c r="E48" s="87"/>
      <c r="F48" s="87"/>
      <c r="G48" s="87"/>
      <c r="H48" s="87"/>
      <c r="I48" s="87"/>
      <c r="J48" s="74"/>
      <c r="K48" s="56"/>
      <c r="X48" s="72"/>
      <c r="Y48" s="81"/>
    </row>
    <row r="49" spans="1:25" s="16" customFormat="1" ht="36" customHeight="1">
      <c r="A49" s="17">
        <v>2</v>
      </c>
      <c r="B49" s="18"/>
      <c r="C49" s="19" t="s">
        <v>17</v>
      </c>
      <c r="D49" s="20">
        <f>D50</f>
        <v>76494680</v>
      </c>
      <c r="E49" s="20"/>
      <c r="F49" s="20">
        <f>F50</f>
        <v>76494680</v>
      </c>
      <c r="G49" s="20">
        <f>G50</f>
        <v>76494680</v>
      </c>
      <c r="H49" s="20">
        <f>H50</f>
        <v>11969171.07</v>
      </c>
      <c r="I49" s="71">
        <f>H49/D49*100</f>
        <v>15.647063390552127</v>
      </c>
      <c r="J49" s="80"/>
      <c r="K49" s="56"/>
      <c r="X49" s="72"/>
      <c r="Y49" s="81"/>
    </row>
    <row r="50" spans="1:25" s="16" customFormat="1" ht="19.5" customHeight="1">
      <c r="A50" s="1"/>
      <c r="B50" s="29" t="s">
        <v>31</v>
      </c>
      <c r="C50" s="29" t="s">
        <v>31</v>
      </c>
      <c r="D50" s="30">
        <f>SUM(D51:D98)</f>
        <v>76494680</v>
      </c>
      <c r="E50" s="30"/>
      <c r="F50" s="30">
        <f>SUM(F51:F98)</f>
        <v>76494680</v>
      </c>
      <c r="G50" s="30">
        <f>SUM(G51:G98)</f>
        <v>76494680</v>
      </c>
      <c r="H50" s="30">
        <f>SUM(H51:H98)</f>
        <v>11969171.07</v>
      </c>
      <c r="I50" s="52">
        <f>H50/D50*100</f>
        <v>15.647063390552127</v>
      </c>
      <c r="J50" s="79">
        <f>H50/(L50+M50+N50+O50+P50)*100</f>
        <v>87.115071710455</v>
      </c>
      <c r="K50" s="56">
        <f>L50+M50+N50+O50+P50-H50</f>
        <v>1770324.0999999996</v>
      </c>
      <c r="L50" s="66">
        <f>SUM(L51:L98)</f>
        <v>0</v>
      </c>
      <c r="M50" s="66">
        <f aca="true" t="shared" si="10" ref="M50:X50">SUM(M51:M98)</f>
        <v>2416000</v>
      </c>
      <c r="N50" s="66">
        <f>SUM(N51:N98)</f>
        <v>3584000</v>
      </c>
      <c r="O50" s="66">
        <f t="shared" si="10"/>
        <v>640500</v>
      </c>
      <c r="P50" s="66">
        <f t="shared" si="10"/>
        <v>7098995.17</v>
      </c>
      <c r="Q50" s="66">
        <f t="shared" si="10"/>
        <v>13324230</v>
      </c>
      <c r="R50" s="66">
        <f t="shared" si="10"/>
        <v>10474000</v>
      </c>
      <c r="S50" s="66">
        <f t="shared" si="10"/>
        <v>9785470.26</v>
      </c>
      <c r="T50" s="66">
        <f t="shared" si="10"/>
        <v>3264188.6100000003</v>
      </c>
      <c r="U50" s="66">
        <f t="shared" si="10"/>
        <v>5989445.91</v>
      </c>
      <c r="V50" s="66">
        <f t="shared" si="10"/>
        <v>10892659.76</v>
      </c>
      <c r="W50" s="66">
        <f>SUM(W51:W98)</f>
        <v>5745190.29</v>
      </c>
      <c r="X50" s="66">
        <f t="shared" si="10"/>
        <v>73214680</v>
      </c>
      <c r="Y50" s="81">
        <f t="shared" si="9"/>
        <v>3280000</v>
      </c>
    </row>
    <row r="51" spans="1:25" s="16" customFormat="1" ht="40.5" customHeight="1">
      <c r="A51" s="1"/>
      <c r="B51" s="29"/>
      <c r="C51" s="31" t="s">
        <v>32</v>
      </c>
      <c r="D51" s="32">
        <f aca="true" t="shared" si="11" ref="D51:D87">F51</f>
        <v>768000</v>
      </c>
      <c r="E51" s="30"/>
      <c r="F51" s="25">
        <f aca="true" t="shared" si="12" ref="F51:F98">G51</f>
        <v>768000</v>
      </c>
      <c r="G51" s="33">
        <f>192000+576000</f>
        <v>768000</v>
      </c>
      <c r="H51" s="25">
        <f>81260+1427.14+45242+45091.14+234240.07</f>
        <v>407260.35</v>
      </c>
      <c r="I51" s="50">
        <f>H51/D51*100</f>
        <v>53.02869140625</v>
      </c>
      <c r="J51" s="79">
        <f>H51/(L51+M51+N51+O51+P51)*100</f>
        <v>100</v>
      </c>
      <c r="K51" s="56">
        <f aca="true" t="shared" si="13" ref="K51:K99">L51+M51+N51+O51+P51-H51</f>
        <v>0</v>
      </c>
      <c r="L51" s="64"/>
      <c r="M51" s="64">
        <v>92000</v>
      </c>
      <c r="N51" s="64">
        <v>100000</v>
      </c>
      <c r="O51" s="64">
        <v>300000</v>
      </c>
      <c r="P51" s="64">
        <f>276000-360739.65</f>
        <v>-84739.65000000002</v>
      </c>
      <c r="Q51" s="64"/>
      <c r="R51" s="64"/>
      <c r="S51" s="64"/>
      <c r="T51" s="64"/>
      <c r="U51" s="64"/>
      <c r="V51" s="64"/>
      <c r="W51" s="64">
        <f>360739.65</f>
        <v>360739.65</v>
      </c>
      <c r="X51" s="64">
        <f>SUM(L51:W51)</f>
        <v>768000</v>
      </c>
      <c r="Y51" s="81">
        <f t="shared" si="9"/>
        <v>0</v>
      </c>
    </row>
    <row r="52" spans="1:25" s="16" customFormat="1" ht="23.25" customHeight="1">
      <c r="A52" s="1"/>
      <c r="B52" s="29"/>
      <c r="C52" s="61" t="s">
        <v>73</v>
      </c>
      <c r="D52" s="32">
        <f t="shared" si="11"/>
        <v>164000</v>
      </c>
      <c r="E52" s="30"/>
      <c r="F52" s="25">
        <f t="shared" si="12"/>
        <v>164000</v>
      </c>
      <c r="G52" s="32">
        <v>164000</v>
      </c>
      <c r="H52" s="25"/>
      <c r="I52" s="50"/>
      <c r="J52" s="79"/>
      <c r="K52" s="56">
        <f t="shared" si="13"/>
        <v>0</v>
      </c>
      <c r="L52" s="64"/>
      <c r="M52" s="64"/>
      <c r="N52" s="64"/>
      <c r="O52" s="64">
        <v>50000</v>
      </c>
      <c r="P52" s="64">
        <f>50000-100000</f>
        <v>-50000</v>
      </c>
      <c r="Q52" s="64">
        <v>64000</v>
      </c>
      <c r="R52" s="64"/>
      <c r="S52" s="64"/>
      <c r="T52" s="64"/>
      <c r="U52" s="64"/>
      <c r="V52" s="64"/>
      <c r="W52" s="64">
        <f>100000</f>
        <v>100000</v>
      </c>
      <c r="X52" s="64">
        <f aca="true" t="shared" si="14" ref="X52:X98">SUM(L52:W52)</f>
        <v>164000</v>
      </c>
      <c r="Y52" s="81">
        <f t="shared" si="9"/>
        <v>0</v>
      </c>
    </row>
    <row r="53" spans="1:25" s="16" customFormat="1" ht="26.25" customHeight="1">
      <c r="A53" s="1"/>
      <c r="B53" s="29"/>
      <c r="C53" s="61" t="s">
        <v>74</v>
      </c>
      <c r="D53" s="32">
        <f t="shared" si="11"/>
        <v>109800</v>
      </c>
      <c r="E53" s="30"/>
      <c r="F53" s="25">
        <f t="shared" si="12"/>
        <v>109800</v>
      </c>
      <c r="G53" s="32">
        <v>109800</v>
      </c>
      <c r="H53" s="25"/>
      <c r="I53" s="50"/>
      <c r="J53" s="79"/>
      <c r="K53" s="56">
        <f t="shared" si="13"/>
        <v>0</v>
      </c>
      <c r="L53" s="64"/>
      <c r="M53" s="64"/>
      <c r="N53" s="64"/>
      <c r="O53" s="64"/>
      <c r="P53" s="64">
        <f>109800-109800</f>
        <v>0</v>
      </c>
      <c r="Q53" s="64"/>
      <c r="R53" s="64"/>
      <c r="S53" s="64"/>
      <c r="T53" s="64"/>
      <c r="U53" s="64"/>
      <c r="V53" s="64"/>
      <c r="W53" s="64">
        <f>109800</f>
        <v>109800</v>
      </c>
      <c r="X53" s="64">
        <f t="shared" si="14"/>
        <v>109800</v>
      </c>
      <c r="Y53" s="81">
        <f t="shared" si="9"/>
        <v>0</v>
      </c>
    </row>
    <row r="54" spans="1:25" s="16" customFormat="1" ht="40.5" customHeight="1">
      <c r="A54" s="1"/>
      <c r="B54" s="29"/>
      <c r="C54" s="61" t="s">
        <v>75</v>
      </c>
      <c r="D54" s="32">
        <f t="shared" si="11"/>
        <v>25280</v>
      </c>
      <c r="E54" s="30"/>
      <c r="F54" s="25">
        <f t="shared" si="12"/>
        <v>25280</v>
      </c>
      <c r="G54" s="32">
        <v>25280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/>
      <c r="Q54" s="64">
        <v>25280</v>
      </c>
      <c r="R54" s="64"/>
      <c r="S54" s="64"/>
      <c r="T54" s="64"/>
      <c r="U54" s="64"/>
      <c r="V54" s="64"/>
      <c r="W54" s="64"/>
      <c r="X54" s="64">
        <f t="shared" si="14"/>
        <v>25280</v>
      </c>
      <c r="Y54" s="81">
        <f t="shared" si="9"/>
        <v>0</v>
      </c>
    </row>
    <row r="55" spans="1:25" s="16" customFormat="1" ht="24.75" customHeight="1">
      <c r="A55" s="1"/>
      <c r="B55" s="29"/>
      <c r="C55" s="61" t="s">
        <v>76</v>
      </c>
      <c r="D55" s="32">
        <f t="shared" si="11"/>
        <v>600000</v>
      </c>
      <c r="E55" s="30"/>
      <c r="F55" s="25">
        <f t="shared" si="12"/>
        <v>600000</v>
      </c>
      <c r="G55" s="32">
        <v>600000</v>
      </c>
      <c r="H55" s="25"/>
      <c r="I55" s="50"/>
      <c r="J55" s="79"/>
      <c r="K55" s="56">
        <f t="shared" si="13"/>
        <v>0</v>
      </c>
      <c r="L55" s="64"/>
      <c r="M55" s="64"/>
      <c r="N55" s="64"/>
      <c r="O55" s="64"/>
      <c r="P55" s="65">
        <f>30000-30000</f>
        <v>0</v>
      </c>
      <c r="Q55" s="65"/>
      <c r="R55" s="65"/>
      <c r="S55" s="65">
        <v>570000</v>
      </c>
      <c r="T55" s="65"/>
      <c r="U55" s="65"/>
      <c r="V55" s="65"/>
      <c r="W55" s="65">
        <f>30000</f>
        <v>30000</v>
      </c>
      <c r="X55" s="64">
        <f t="shared" si="14"/>
        <v>600000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77</v>
      </c>
      <c r="D56" s="32">
        <f t="shared" si="11"/>
        <v>850000</v>
      </c>
      <c r="E56" s="30"/>
      <c r="F56" s="25">
        <f t="shared" si="12"/>
        <v>850000</v>
      </c>
      <c r="G56" s="32">
        <v>850000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290103.26</v>
      </c>
      <c r="T56" s="65">
        <v>15002.85</v>
      </c>
      <c r="U56" s="65">
        <v>514893.89</v>
      </c>
      <c r="V56" s="65"/>
      <c r="W56" s="65">
        <f>30000</f>
        <v>30000</v>
      </c>
      <c r="X56" s="64">
        <f t="shared" si="14"/>
        <v>850000</v>
      </c>
      <c r="Y56" s="81">
        <f t="shared" si="9"/>
        <v>0</v>
      </c>
    </row>
    <row r="57" spans="1:25" s="16" customFormat="1" ht="22.5" customHeight="1">
      <c r="A57" s="1"/>
      <c r="B57" s="29"/>
      <c r="C57" s="61" t="s">
        <v>78</v>
      </c>
      <c r="D57" s="32">
        <f t="shared" si="11"/>
        <v>750000</v>
      </c>
      <c r="E57" s="30"/>
      <c r="F57" s="25">
        <f t="shared" si="12"/>
        <v>750000</v>
      </c>
      <c r="G57" s="32">
        <v>750000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/>
      <c r="T57" s="65"/>
      <c r="U57" s="65">
        <v>494552.02</v>
      </c>
      <c r="V57" s="65">
        <v>225447.98</v>
      </c>
      <c r="W57" s="65">
        <f>30000</f>
        <v>30000</v>
      </c>
      <c r="X57" s="64">
        <f t="shared" si="14"/>
        <v>750000</v>
      </c>
      <c r="Y57" s="81">
        <f t="shared" si="9"/>
        <v>0</v>
      </c>
    </row>
    <row r="58" spans="1:25" s="16" customFormat="1" ht="40.5" customHeight="1">
      <c r="A58" s="1"/>
      <c r="B58" s="29"/>
      <c r="C58" s="61" t="s">
        <v>118</v>
      </c>
      <c r="D58" s="32">
        <f t="shared" si="11"/>
        <v>1180000</v>
      </c>
      <c r="E58" s="30"/>
      <c r="F58" s="25">
        <f t="shared" si="12"/>
        <v>1180000</v>
      </c>
      <c r="G58" s="32">
        <f>850000+330000</f>
        <v>1180000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>
        <v>300000</v>
      </c>
      <c r="T58" s="65"/>
      <c r="U58" s="65">
        <v>520000</v>
      </c>
      <c r="V58" s="65"/>
      <c r="W58" s="65">
        <f>30000</f>
        <v>30000</v>
      </c>
      <c r="X58" s="64">
        <f t="shared" si="14"/>
        <v>850000</v>
      </c>
      <c r="Y58" s="81">
        <f t="shared" si="9"/>
        <v>330000</v>
      </c>
    </row>
    <row r="59" spans="1:25" s="16" customFormat="1" ht="40.5" customHeight="1" hidden="1">
      <c r="A59" s="1"/>
      <c r="B59" s="29"/>
      <c r="C59" s="61" t="s">
        <v>79</v>
      </c>
      <c r="D59" s="32">
        <f t="shared" si="11"/>
        <v>0</v>
      </c>
      <c r="E59" s="30"/>
      <c r="F59" s="25">
        <f t="shared" si="12"/>
        <v>0</v>
      </c>
      <c r="G59" s="32">
        <f>550000-550000</f>
        <v>0</v>
      </c>
      <c r="H59" s="25"/>
      <c r="I59" s="50"/>
      <c r="J59" s="79"/>
      <c r="K59" s="56">
        <f t="shared" si="13"/>
        <v>30000</v>
      </c>
      <c r="L59" s="64"/>
      <c r="M59" s="64"/>
      <c r="N59" s="64"/>
      <c r="O59" s="64"/>
      <c r="P59" s="65">
        <v>30000</v>
      </c>
      <c r="Q59" s="65"/>
      <c r="R59" s="65"/>
      <c r="S59" s="65"/>
      <c r="T59" s="65">
        <v>520000</v>
      </c>
      <c r="U59" s="65"/>
      <c r="V59" s="65"/>
      <c r="W59" s="65"/>
      <c r="X59" s="64">
        <f t="shared" si="14"/>
        <v>550000</v>
      </c>
      <c r="Y59" s="81">
        <f t="shared" si="9"/>
        <v>-550000</v>
      </c>
    </row>
    <row r="60" spans="1:25" s="16" customFormat="1" ht="40.5" customHeight="1">
      <c r="A60" s="1"/>
      <c r="B60" s="29"/>
      <c r="C60" s="61" t="s">
        <v>80</v>
      </c>
      <c r="D60" s="32">
        <f t="shared" si="11"/>
        <v>120000</v>
      </c>
      <c r="E60" s="30"/>
      <c r="F60" s="25">
        <f t="shared" si="12"/>
        <v>120000</v>
      </c>
      <c r="G60" s="32">
        <v>120000</v>
      </c>
      <c r="H60" s="25"/>
      <c r="I60" s="50"/>
      <c r="J60" s="79"/>
      <c r="K60" s="56">
        <f t="shared" si="13"/>
        <v>0</v>
      </c>
      <c r="L60" s="64"/>
      <c r="M60" s="64"/>
      <c r="N60" s="64"/>
      <c r="O60" s="64">
        <v>50000</v>
      </c>
      <c r="P60" s="64">
        <f>70000-120000</f>
        <v>-50000</v>
      </c>
      <c r="Q60" s="64"/>
      <c r="R60" s="64"/>
      <c r="S60" s="64"/>
      <c r="T60" s="64"/>
      <c r="U60" s="64"/>
      <c r="V60" s="64"/>
      <c r="W60" s="64">
        <f>120000</f>
        <v>120000</v>
      </c>
      <c r="X60" s="64">
        <f t="shared" si="14"/>
        <v>120000</v>
      </c>
      <c r="Y60" s="81">
        <f t="shared" si="9"/>
        <v>0</v>
      </c>
    </row>
    <row r="61" spans="1:25" s="16" customFormat="1" ht="24.75" customHeight="1">
      <c r="A61" s="1"/>
      <c r="B61" s="29"/>
      <c r="C61" s="61" t="s">
        <v>81</v>
      </c>
      <c r="D61" s="32">
        <f t="shared" si="11"/>
        <v>128800</v>
      </c>
      <c r="E61" s="30"/>
      <c r="F61" s="25">
        <f t="shared" si="12"/>
        <v>128800</v>
      </c>
      <c r="G61" s="32">
        <v>128800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/>
      <c r="P61" s="64"/>
      <c r="Q61" s="64"/>
      <c r="R61" s="64"/>
      <c r="S61" s="64">
        <v>64400</v>
      </c>
      <c r="T61" s="64">
        <v>64400</v>
      </c>
      <c r="U61" s="64"/>
      <c r="V61" s="64"/>
      <c r="W61" s="64"/>
      <c r="X61" s="64">
        <f t="shared" si="14"/>
        <v>128800</v>
      </c>
      <c r="Y61" s="81">
        <f t="shared" si="9"/>
        <v>0</v>
      </c>
    </row>
    <row r="62" spans="1:25" s="16" customFormat="1" ht="23.25" customHeight="1">
      <c r="A62" s="1"/>
      <c r="B62" s="29"/>
      <c r="C62" s="61" t="s">
        <v>82</v>
      </c>
      <c r="D62" s="32">
        <f t="shared" si="11"/>
        <v>5000</v>
      </c>
      <c r="E62" s="30"/>
      <c r="F62" s="25">
        <f t="shared" si="12"/>
        <v>5000</v>
      </c>
      <c r="G62" s="32">
        <v>5000</v>
      </c>
      <c r="H62" s="25"/>
      <c r="I62" s="50"/>
      <c r="J62" s="79">
        <f>H62/(L62+M62+N62+O62+P62)*100</f>
        <v>0</v>
      </c>
      <c r="K62" s="56">
        <f t="shared" si="13"/>
        <v>5000</v>
      </c>
      <c r="L62" s="64"/>
      <c r="M62" s="64"/>
      <c r="N62" s="64"/>
      <c r="O62" s="64">
        <v>5000</v>
      </c>
      <c r="P62" s="64"/>
      <c r="Q62" s="64"/>
      <c r="R62" s="64"/>
      <c r="S62" s="64"/>
      <c r="T62" s="64"/>
      <c r="U62" s="64"/>
      <c r="V62" s="64"/>
      <c r="W62" s="64"/>
      <c r="X62" s="64">
        <f t="shared" si="14"/>
        <v>5000</v>
      </c>
      <c r="Y62" s="81">
        <f t="shared" si="9"/>
        <v>0</v>
      </c>
    </row>
    <row r="63" spans="1:25" s="16" customFormat="1" ht="24.75" customHeight="1">
      <c r="A63" s="1"/>
      <c r="B63" s="29"/>
      <c r="C63" s="60" t="s">
        <v>83</v>
      </c>
      <c r="D63" s="32">
        <f t="shared" si="11"/>
        <v>120000</v>
      </c>
      <c r="E63" s="30"/>
      <c r="F63" s="25">
        <f t="shared" si="12"/>
        <v>120000</v>
      </c>
      <c r="G63" s="33">
        <v>120000</v>
      </c>
      <c r="H63" s="25"/>
      <c r="I63" s="50"/>
      <c r="J63" s="79"/>
      <c r="K63" s="56">
        <f t="shared" si="13"/>
        <v>0</v>
      </c>
      <c r="L63" s="64"/>
      <c r="M63" s="64"/>
      <c r="N63" s="64"/>
      <c r="O63" s="64"/>
      <c r="P63" s="64">
        <f>120000-120000</f>
        <v>0</v>
      </c>
      <c r="Q63" s="64"/>
      <c r="R63" s="64"/>
      <c r="S63" s="64"/>
      <c r="T63" s="64"/>
      <c r="U63" s="64"/>
      <c r="V63" s="64"/>
      <c r="W63" s="64">
        <f>120000</f>
        <v>120000</v>
      </c>
      <c r="X63" s="64">
        <f t="shared" si="14"/>
        <v>120000</v>
      </c>
      <c r="Y63" s="81">
        <f t="shared" si="9"/>
        <v>0</v>
      </c>
    </row>
    <row r="64" spans="1:25" s="16" customFormat="1" ht="39.75" customHeight="1">
      <c r="A64" s="1"/>
      <c r="B64" s="29"/>
      <c r="C64" s="61" t="s">
        <v>84</v>
      </c>
      <c r="D64" s="32">
        <f t="shared" si="11"/>
        <v>500</v>
      </c>
      <c r="E64" s="30"/>
      <c r="F64" s="25">
        <f t="shared" si="12"/>
        <v>500</v>
      </c>
      <c r="G64" s="33">
        <v>500</v>
      </c>
      <c r="H64" s="25"/>
      <c r="I64" s="50"/>
      <c r="J64" s="79">
        <f>H64/(L64+M64+N64+O64+P64)*100</f>
        <v>0</v>
      </c>
      <c r="K64" s="56">
        <f t="shared" si="13"/>
        <v>500</v>
      </c>
      <c r="L64" s="64"/>
      <c r="M64" s="64"/>
      <c r="N64" s="64"/>
      <c r="O64" s="64">
        <v>500</v>
      </c>
      <c r="P64" s="64"/>
      <c r="Q64" s="64"/>
      <c r="R64" s="64"/>
      <c r="S64" s="64"/>
      <c r="T64" s="64"/>
      <c r="U64" s="64"/>
      <c r="V64" s="64"/>
      <c r="W64" s="64"/>
      <c r="X64" s="64">
        <f t="shared" si="14"/>
        <v>500</v>
      </c>
      <c r="Y64" s="81">
        <f t="shared" si="9"/>
        <v>0</v>
      </c>
    </row>
    <row r="65" spans="1:25" s="16" customFormat="1" ht="24.75" customHeight="1">
      <c r="A65" s="1"/>
      <c r="B65" s="29"/>
      <c r="C65" s="60" t="s">
        <v>85</v>
      </c>
      <c r="D65" s="32">
        <f t="shared" si="11"/>
        <v>89760</v>
      </c>
      <c r="E65" s="30"/>
      <c r="F65" s="25">
        <f t="shared" si="12"/>
        <v>89760</v>
      </c>
      <c r="G65" s="33">
        <v>89760</v>
      </c>
      <c r="H65" s="25"/>
      <c r="I65" s="50"/>
      <c r="J65" s="79"/>
      <c r="K65" s="56">
        <f t="shared" si="13"/>
        <v>0</v>
      </c>
      <c r="L65" s="64"/>
      <c r="M65" s="64"/>
      <c r="N65" s="64"/>
      <c r="O65" s="64"/>
      <c r="P65" s="64"/>
      <c r="Q65" s="64"/>
      <c r="R65" s="64"/>
      <c r="S65" s="64"/>
      <c r="T65" s="64">
        <v>89760</v>
      </c>
      <c r="U65" s="64"/>
      <c r="V65" s="64"/>
      <c r="W65" s="64"/>
      <c r="X65" s="64">
        <f t="shared" si="14"/>
        <v>89760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86</v>
      </c>
      <c r="D66" s="32">
        <f t="shared" si="11"/>
        <v>50000</v>
      </c>
      <c r="E66" s="30"/>
      <c r="F66" s="25">
        <f t="shared" si="12"/>
        <v>50000</v>
      </c>
      <c r="G66" s="33">
        <v>50000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/>
      <c r="Q66" s="64">
        <v>50000</v>
      </c>
      <c r="R66" s="64"/>
      <c r="S66" s="64"/>
      <c r="T66" s="64"/>
      <c r="U66" s="64"/>
      <c r="V66" s="64"/>
      <c r="W66" s="64"/>
      <c r="X66" s="64">
        <f t="shared" si="14"/>
        <v>50000</v>
      </c>
      <c r="Y66" s="81">
        <f t="shared" si="9"/>
        <v>0</v>
      </c>
    </row>
    <row r="67" spans="1:25" s="16" customFormat="1" ht="24.75" customHeight="1">
      <c r="A67" s="1"/>
      <c r="B67" s="29"/>
      <c r="C67" s="31" t="s">
        <v>112</v>
      </c>
      <c r="D67" s="32">
        <f t="shared" si="11"/>
        <v>25000</v>
      </c>
      <c r="E67" s="30"/>
      <c r="F67" s="25">
        <f t="shared" si="12"/>
        <v>25000</v>
      </c>
      <c r="G67" s="33">
        <v>25000</v>
      </c>
      <c r="H67" s="25"/>
      <c r="I67" s="50"/>
      <c r="J67" s="79">
        <f>H67/(L67+M67+N67+O67+P67)*100</f>
        <v>0</v>
      </c>
      <c r="K67" s="56">
        <f t="shared" si="13"/>
        <v>5000</v>
      </c>
      <c r="L67" s="64"/>
      <c r="M67" s="64"/>
      <c r="N67" s="64"/>
      <c r="O67" s="64"/>
      <c r="P67" s="64">
        <v>5000</v>
      </c>
      <c r="Q67" s="64"/>
      <c r="R67" s="64">
        <v>20000</v>
      </c>
      <c r="S67" s="64"/>
      <c r="T67" s="64"/>
      <c r="U67" s="64"/>
      <c r="V67" s="64"/>
      <c r="W67" s="64"/>
      <c r="X67" s="64">
        <f t="shared" si="14"/>
        <v>25000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87</v>
      </c>
      <c r="D68" s="32">
        <f t="shared" si="11"/>
        <v>200000</v>
      </c>
      <c r="E68" s="30"/>
      <c r="F68" s="25">
        <f t="shared" si="12"/>
        <v>200000</v>
      </c>
      <c r="G68" s="33">
        <v>200000</v>
      </c>
      <c r="H68" s="25">
        <f>60000</f>
        <v>60000</v>
      </c>
      <c r="I68" s="50">
        <f>H68/D68*100</f>
        <v>30</v>
      </c>
      <c r="J68" s="79"/>
      <c r="K68" s="56">
        <f t="shared" si="13"/>
        <v>-60000</v>
      </c>
      <c r="L68" s="64"/>
      <c r="M68" s="64"/>
      <c r="N68" s="64"/>
      <c r="O68" s="64"/>
      <c r="P68" s="64"/>
      <c r="Q68" s="64"/>
      <c r="R68" s="64">
        <v>65000</v>
      </c>
      <c r="S68" s="64">
        <v>65000</v>
      </c>
      <c r="T68" s="64">
        <v>70000</v>
      </c>
      <c r="U68" s="64"/>
      <c r="V68" s="64"/>
      <c r="W68" s="64"/>
      <c r="X68" s="64">
        <f t="shared" si="14"/>
        <v>200000</v>
      </c>
      <c r="Y68" s="81">
        <f t="shared" si="9"/>
        <v>0</v>
      </c>
    </row>
    <row r="69" spans="1:25" s="16" customFormat="1" ht="24.75" customHeight="1">
      <c r="A69" s="1"/>
      <c r="B69" s="29"/>
      <c r="C69" s="60" t="s">
        <v>88</v>
      </c>
      <c r="D69" s="32">
        <f t="shared" si="11"/>
        <v>200000</v>
      </c>
      <c r="E69" s="30"/>
      <c r="F69" s="25">
        <f t="shared" si="12"/>
        <v>200000</v>
      </c>
      <c r="G69" s="33">
        <v>200000</v>
      </c>
      <c r="H69" s="25"/>
      <c r="I69" s="50"/>
      <c r="J69" s="79"/>
      <c r="K69" s="56">
        <f t="shared" si="13"/>
        <v>0</v>
      </c>
      <c r="L69" s="64"/>
      <c r="M69" s="64"/>
      <c r="N69" s="64"/>
      <c r="O69" s="64">
        <v>60000</v>
      </c>
      <c r="P69" s="64">
        <f>-60000</f>
        <v>-60000</v>
      </c>
      <c r="Q69" s="64">
        <v>140000</v>
      </c>
      <c r="R69" s="64"/>
      <c r="S69" s="64"/>
      <c r="T69" s="64"/>
      <c r="U69" s="64"/>
      <c r="V69" s="64"/>
      <c r="W69" s="64">
        <f>60000</f>
        <v>60000</v>
      </c>
      <c r="X69" s="64">
        <f t="shared" si="14"/>
        <v>200000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89</v>
      </c>
      <c r="D70" s="32">
        <f t="shared" si="11"/>
        <v>300000</v>
      </c>
      <c r="E70" s="30"/>
      <c r="F70" s="25">
        <f t="shared" si="12"/>
        <v>300000</v>
      </c>
      <c r="G70" s="33">
        <v>300000</v>
      </c>
      <c r="H70" s="25"/>
      <c r="I70" s="50"/>
      <c r="J70" s="79"/>
      <c r="K70" s="56">
        <f t="shared" si="13"/>
        <v>0</v>
      </c>
      <c r="L70" s="64"/>
      <c r="M70" s="64"/>
      <c r="N70" s="64">
        <v>100000</v>
      </c>
      <c r="O70" s="64"/>
      <c r="P70" s="64">
        <f>200000-300000</f>
        <v>-100000</v>
      </c>
      <c r="Q70" s="64"/>
      <c r="R70" s="64"/>
      <c r="S70" s="64"/>
      <c r="T70" s="64"/>
      <c r="U70" s="64"/>
      <c r="V70" s="64"/>
      <c r="W70" s="64">
        <f>300000</f>
        <v>300000</v>
      </c>
      <c r="X70" s="64">
        <f t="shared" si="14"/>
        <v>300000</v>
      </c>
      <c r="Y70" s="81">
        <f t="shared" si="9"/>
        <v>0</v>
      </c>
    </row>
    <row r="71" spans="1:25" s="16" customFormat="1" ht="24.75" customHeight="1">
      <c r="A71" s="1"/>
      <c r="B71" s="29"/>
      <c r="C71" s="62" t="s">
        <v>90</v>
      </c>
      <c r="D71" s="32">
        <f t="shared" si="11"/>
        <v>350000</v>
      </c>
      <c r="E71" s="30"/>
      <c r="F71" s="25">
        <f t="shared" si="12"/>
        <v>350000</v>
      </c>
      <c r="G71" s="33">
        <v>350000</v>
      </c>
      <c r="H71" s="25">
        <f>105000</f>
        <v>105000</v>
      </c>
      <c r="I71" s="50">
        <f>H71/D71*100</f>
        <v>30</v>
      </c>
      <c r="J71" s="79">
        <f>H71/(L71+M71+N71+O71+P71)*100</f>
        <v>63.63636363636363</v>
      </c>
      <c r="K71" s="56">
        <f t="shared" si="13"/>
        <v>60000</v>
      </c>
      <c r="L71" s="64"/>
      <c r="M71" s="64"/>
      <c r="N71" s="64">
        <v>215000</v>
      </c>
      <c r="O71" s="64"/>
      <c r="P71" s="64">
        <f>-50000</f>
        <v>-50000</v>
      </c>
      <c r="Q71" s="64"/>
      <c r="R71" s="64"/>
      <c r="S71" s="64">
        <v>135000</v>
      </c>
      <c r="T71" s="64"/>
      <c r="U71" s="64"/>
      <c r="V71" s="64"/>
      <c r="W71" s="64">
        <v>50000</v>
      </c>
      <c r="X71" s="64">
        <f t="shared" si="14"/>
        <v>350000</v>
      </c>
      <c r="Y71" s="81">
        <f t="shared" si="9"/>
        <v>0</v>
      </c>
    </row>
    <row r="72" spans="1:25" s="16" customFormat="1" ht="24.75" customHeight="1">
      <c r="A72" s="1"/>
      <c r="B72" s="29"/>
      <c r="C72" s="61" t="s">
        <v>91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0"/>
      <c r="J72" s="79">
        <f>H72/(L72+M72+N72+O72+P72)*100</f>
        <v>0</v>
      </c>
      <c r="K72" s="56">
        <f t="shared" si="13"/>
        <v>60000</v>
      </c>
      <c r="L72" s="64"/>
      <c r="M72" s="64"/>
      <c r="N72" s="64">
        <v>60000</v>
      </c>
      <c r="O72" s="64"/>
      <c r="P72" s="64"/>
      <c r="Q72" s="64"/>
      <c r="R72" s="64"/>
      <c r="S72" s="64">
        <v>21967</v>
      </c>
      <c r="T72" s="64">
        <v>40000</v>
      </c>
      <c r="U72" s="64"/>
      <c r="V72" s="64"/>
      <c r="W72" s="64">
        <v>78033</v>
      </c>
      <c r="X72" s="64">
        <f t="shared" si="14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3" t="s">
        <v>92</v>
      </c>
      <c r="D73" s="32">
        <f t="shared" si="11"/>
        <v>250000</v>
      </c>
      <c r="E73" s="30"/>
      <c r="F73" s="25">
        <f t="shared" si="12"/>
        <v>250000</v>
      </c>
      <c r="G73" s="33">
        <v>250000</v>
      </c>
      <c r="H73" s="25"/>
      <c r="I73" s="50"/>
      <c r="J73" s="79"/>
      <c r="K73" s="56">
        <f t="shared" si="13"/>
        <v>0</v>
      </c>
      <c r="L73" s="64"/>
      <c r="M73" s="64"/>
      <c r="N73" s="64"/>
      <c r="O73" s="64"/>
      <c r="P73" s="64"/>
      <c r="Q73" s="64"/>
      <c r="R73" s="64"/>
      <c r="S73" s="64"/>
      <c r="T73" s="64">
        <v>125000</v>
      </c>
      <c r="U73" s="64">
        <v>125000</v>
      </c>
      <c r="V73" s="64"/>
      <c r="W73" s="64"/>
      <c r="X73" s="64">
        <f t="shared" si="14"/>
        <v>250000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93</v>
      </c>
      <c r="D74" s="32">
        <f t="shared" si="11"/>
        <v>260000</v>
      </c>
      <c r="E74" s="30"/>
      <c r="F74" s="25">
        <f t="shared" si="12"/>
        <v>260000</v>
      </c>
      <c r="G74" s="33">
        <v>260000</v>
      </c>
      <c r="H74" s="25"/>
      <c r="I74" s="50"/>
      <c r="J74" s="79"/>
      <c r="K74" s="56">
        <f t="shared" si="13"/>
        <v>0</v>
      </c>
      <c r="L74" s="64"/>
      <c r="M74" s="64"/>
      <c r="N74" s="64"/>
      <c r="O74" s="64"/>
      <c r="P74" s="64"/>
      <c r="Q74" s="64"/>
      <c r="R74" s="64"/>
      <c r="S74" s="64"/>
      <c r="T74" s="64"/>
      <c r="U74" s="64">
        <v>135000</v>
      </c>
      <c r="V74" s="64">
        <v>125000</v>
      </c>
      <c r="W74" s="64"/>
      <c r="X74" s="64">
        <f t="shared" si="14"/>
        <v>260000</v>
      </c>
      <c r="Y74" s="81">
        <f t="shared" si="9"/>
        <v>0</v>
      </c>
    </row>
    <row r="75" spans="1:25" s="16" customFormat="1" ht="24.75" customHeight="1">
      <c r="A75" s="1"/>
      <c r="B75" s="29"/>
      <c r="C75" s="61" t="s">
        <v>110</v>
      </c>
      <c r="D75" s="32">
        <f t="shared" si="11"/>
        <v>150000</v>
      </c>
      <c r="E75" s="30"/>
      <c r="F75" s="25">
        <f t="shared" si="12"/>
        <v>150000</v>
      </c>
      <c r="G75" s="33">
        <v>150000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>
        <f t="shared" si="14"/>
        <v>150000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94</v>
      </c>
      <c r="D76" s="32">
        <f t="shared" si="11"/>
        <v>150000</v>
      </c>
      <c r="E76" s="30"/>
      <c r="F76" s="25">
        <f t="shared" si="12"/>
        <v>150000</v>
      </c>
      <c r="G76" s="33">
        <v>150000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150000</v>
      </c>
      <c r="V76" s="64"/>
      <c r="W76" s="64"/>
      <c r="X76" s="64">
        <f t="shared" si="14"/>
        <v>150000</v>
      </c>
      <c r="Y76" s="81">
        <f t="shared" si="9"/>
        <v>0</v>
      </c>
    </row>
    <row r="77" spans="1:25" s="16" customFormat="1" ht="24.75" customHeight="1">
      <c r="A77" s="1"/>
      <c r="B77" s="29"/>
      <c r="C77" s="60" t="s">
        <v>95</v>
      </c>
      <c r="D77" s="32">
        <f t="shared" si="11"/>
        <v>12500000</v>
      </c>
      <c r="E77" s="30"/>
      <c r="F77" s="25">
        <f t="shared" si="12"/>
        <v>12500000</v>
      </c>
      <c r="G77" s="33">
        <v>12500000</v>
      </c>
      <c r="H77" s="25">
        <f>6182.05</f>
        <v>6182.05</v>
      </c>
      <c r="I77" s="25">
        <f>H77/D77*100</f>
        <v>0.0494564</v>
      </c>
      <c r="J77" s="79">
        <f>H77/(L77+M77+N77+O77+P77)*100</f>
        <v>99.99999999999996</v>
      </c>
      <c r="K77" s="56">
        <f t="shared" si="13"/>
        <v>0</v>
      </c>
      <c r="L77" s="64"/>
      <c r="M77" s="64"/>
      <c r="N77" s="64">
        <v>125000</v>
      </c>
      <c r="O77" s="64"/>
      <c r="P77" s="64">
        <f>-118817.95</f>
        <v>-118817.95</v>
      </c>
      <c r="Q77" s="64"/>
      <c r="R77" s="64">
        <v>6000000</v>
      </c>
      <c r="S77" s="64"/>
      <c r="T77" s="64"/>
      <c r="U77" s="64">
        <v>2000000</v>
      </c>
      <c r="V77" s="64">
        <v>4375000</v>
      </c>
      <c r="W77" s="64">
        <f>118817.95</f>
        <v>118817.95</v>
      </c>
      <c r="X77" s="64">
        <f t="shared" si="14"/>
        <v>12500000</v>
      </c>
      <c r="Y77" s="81">
        <f t="shared" si="9"/>
        <v>0</v>
      </c>
    </row>
    <row r="78" spans="1:25" s="16" customFormat="1" ht="21.75" customHeight="1">
      <c r="A78" s="1"/>
      <c r="B78" s="29"/>
      <c r="C78" s="60" t="s">
        <v>96</v>
      </c>
      <c r="D78" s="32">
        <f t="shared" si="11"/>
        <v>3050000</v>
      </c>
      <c r="E78" s="30"/>
      <c r="F78" s="25">
        <f t="shared" si="12"/>
        <v>3050000</v>
      </c>
      <c r="G78" s="33">
        <f>3043000+7000</f>
        <v>3050000</v>
      </c>
      <c r="H78" s="25">
        <f>275933.34+29437.7+941917.2+15430.54</f>
        <v>1262718.78</v>
      </c>
      <c r="I78" s="50">
        <f>H78/D78*100</f>
        <v>41.40061573770492</v>
      </c>
      <c r="J78" s="79">
        <f>H78/(L78+M78+N78+O78+P78)*100</f>
        <v>82.80123147540984</v>
      </c>
      <c r="K78" s="56">
        <f t="shared" si="13"/>
        <v>262281.22</v>
      </c>
      <c r="L78" s="64"/>
      <c r="M78" s="64"/>
      <c r="N78" s="64">
        <v>754000</v>
      </c>
      <c r="O78" s="64">
        <v>7000</v>
      </c>
      <c r="P78" s="64">
        <v>764000</v>
      </c>
      <c r="Q78" s="64">
        <v>1525000</v>
      </c>
      <c r="R78" s="64"/>
      <c r="S78" s="64"/>
      <c r="T78" s="64"/>
      <c r="U78" s="64"/>
      <c r="V78" s="64"/>
      <c r="W78" s="64"/>
      <c r="X78" s="64">
        <f t="shared" si="14"/>
        <v>3050000</v>
      </c>
      <c r="Y78" s="81">
        <f t="shared" si="9"/>
        <v>0</v>
      </c>
    </row>
    <row r="79" spans="1:25" s="16" customFormat="1" ht="18.75" customHeight="1">
      <c r="A79" s="1"/>
      <c r="B79" s="29"/>
      <c r="C79" s="60" t="s">
        <v>97</v>
      </c>
      <c r="D79" s="32">
        <f t="shared" si="11"/>
        <v>8141900</v>
      </c>
      <c r="E79" s="30"/>
      <c r="F79" s="25">
        <f t="shared" si="12"/>
        <v>8141900</v>
      </c>
      <c r="G79" s="33">
        <f>6648900-7000+1500000</f>
        <v>8141900</v>
      </c>
      <c r="H79" s="25"/>
      <c r="I79" s="50"/>
      <c r="J79" s="79"/>
      <c r="K79" s="56">
        <f t="shared" si="13"/>
        <v>0</v>
      </c>
      <c r="L79" s="64"/>
      <c r="M79" s="64"/>
      <c r="N79" s="64">
        <v>7000</v>
      </c>
      <c r="O79" s="64">
        <v>-7000</v>
      </c>
      <c r="P79" s="64"/>
      <c r="Q79" s="64">
        <v>3315950</v>
      </c>
      <c r="R79" s="64"/>
      <c r="S79" s="64"/>
      <c r="T79" s="64">
        <v>1000000</v>
      </c>
      <c r="U79" s="64">
        <v>1000000</v>
      </c>
      <c r="V79" s="64">
        <v>1325950</v>
      </c>
      <c r="W79" s="64"/>
      <c r="X79" s="64">
        <f t="shared" si="14"/>
        <v>6641900</v>
      </c>
      <c r="Y79" s="81">
        <f t="shared" si="9"/>
        <v>1500000</v>
      </c>
    </row>
    <row r="80" spans="1:25" s="16" customFormat="1" ht="18.75" customHeight="1">
      <c r="A80" s="1"/>
      <c r="B80" s="29"/>
      <c r="C80" s="31" t="s">
        <v>33</v>
      </c>
      <c r="D80" s="32">
        <f t="shared" si="11"/>
        <v>2519000</v>
      </c>
      <c r="E80" s="30"/>
      <c r="F80" s="25">
        <f t="shared" si="12"/>
        <v>2519000</v>
      </c>
      <c r="G80" s="33">
        <v>2519000</v>
      </c>
      <c r="H80" s="25">
        <f>595483.2+6729.38+480496.81</f>
        <v>1082709.39</v>
      </c>
      <c r="I80" s="50">
        <f>H80/D80*100</f>
        <v>42.981714569273514</v>
      </c>
      <c r="J80" s="79">
        <f>H80/(L80+M80+N80+O80+P80)*100</f>
        <v>97.98275022624433</v>
      </c>
      <c r="K80" s="83">
        <f t="shared" si="13"/>
        <v>22290.610000000102</v>
      </c>
      <c r="L80" s="64"/>
      <c r="M80" s="64">
        <v>300000</v>
      </c>
      <c r="N80" s="64">
        <v>330000</v>
      </c>
      <c r="O80" s="64"/>
      <c r="P80" s="64">
        <f>370000+105000</f>
        <v>475000</v>
      </c>
      <c r="Q80" s="64">
        <f>1519000-105000</f>
        <v>1414000</v>
      </c>
      <c r="R80" s="64"/>
      <c r="S80" s="64"/>
      <c r="T80" s="64"/>
      <c r="U80" s="64"/>
      <c r="V80" s="64"/>
      <c r="W80" s="64"/>
      <c r="X80" s="64">
        <f t="shared" si="14"/>
        <v>2519000</v>
      </c>
      <c r="Y80" s="81">
        <f t="shared" si="9"/>
        <v>0</v>
      </c>
    </row>
    <row r="81" spans="1:25" s="16" customFormat="1" ht="19.5" customHeight="1">
      <c r="A81" s="1"/>
      <c r="B81" s="29"/>
      <c r="C81" s="31" t="s">
        <v>34</v>
      </c>
      <c r="D81" s="32">
        <f t="shared" si="11"/>
        <v>4000000</v>
      </c>
      <c r="E81" s="30"/>
      <c r="F81" s="25">
        <f t="shared" si="12"/>
        <v>4000000</v>
      </c>
      <c r="G81" s="33">
        <f>125000+3875000</f>
        <v>4000000</v>
      </c>
      <c r="H81" s="25">
        <f>40071.36</f>
        <v>40071.36</v>
      </c>
      <c r="I81" s="50">
        <f>H81/D81*100</f>
        <v>1.001784</v>
      </c>
      <c r="J81" s="79">
        <f>H81/(L81+M81+N81+O81+P81)*100</f>
        <v>20.03568</v>
      </c>
      <c r="K81" s="56">
        <f t="shared" si="13"/>
        <v>159928.64</v>
      </c>
      <c r="L81" s="64"/>
      <c r="M81" s="64"/>
      <c r="N81" s="64">
        <v>125000</v>
      </c>
      <c r="O81" s="64">
        <v>75000</v>
      </c>
      <c r="P81" s="64"/>
      <c r="Q81" s="64"/>
      <c r="R81" s="64">
        <v>1900000</v>
      </c>
      <c r="S81" s="64"/>
      <c r="T81" s="64"/>
      <c r="U81" s="64">
        <v>950000</v>
      </c>
      <c r="V81" s="64">
        <v>950000</v>
      </c>
      <c r="W81" s="64"/>
      <c r="X81" s="64">
        <f t="shared" si="14"/>
        <v>4000000</v>
      </c>
      <c r="Y81" s="81">
        <f t="shared" si="9"/>
        <v>0</v>
      </c>
    </row>
    <row r="82" spans="1:25" s="16" customFormat="1" ht="40.5" customHeight="1">
      <c r="A82" s="1"/>
      <c r="B82" s="29"/>
      <c r="C82" s="60" t="s">
        <v>35</v>
      </c>
      <c r="D82" s="32">
        <f t="shared" si="11"/>
        <v>147000</v>
      </c>
      <c r="E82" s="30"/>
      <c r="F82" s="25">
        <f t="shared" si="12"/>
        <v>147000</v>
      </c>
      <c r="G82" s="33">
        <f>462000+385000-700000</f>
        <v>147000</v>
      </c>
      <c r="H82" s="25"/>
      <c r="I82" s="50"/>
      <c r="J82" s="79">
        <f>H82/(L82+M82+N82+O82+P82)*100</f>
        <v>0</v>
      </c>
      <c r="K82" s="56">
        <f t="shared" si="13"/>
        <v>147000</v>
      </c>
      <c r="L82" s="64"/>
      <c r="M82" s="64">
        <v>462000</v>
      </c>
      <c r="N82" s="64">
        <v>-315000</v>
      </c>
      <c r="O82" s="64"/>
      <c r="P82" s="64"/>
      <c r="Q82" s="64"/>
      <c r="R82" s="64"/>
      <c r="S82" s="64"/>
      <c r="T82" s="64">
        <f>125000-125000</f>
        <v>0</v>
      </c>
      <c r="U82" s="64">
        <f>260000-260000</f>
        <v>0</v>
      </c>
      <c r="V82" s="64"/>
      <c r="W82" s="64"/>
      <c r="X82" s="64">
        <f t="shared" si="14"/>
        <v>147000</v>
      </c>
      <c r="Y82" s="81">
        <f t="shared" si="9"/>
        <v>0</v>
      </c>
    </row>
    <row r="83" spans="1:25" s="16" customFormat="1" ht="40.5" customHeight="1">
      <c r="A83" s="1"/>
      <c r="B83" s="29"/>
      <c r="C83" s="60" t="s">
        <v>98</v>
      </c>
      <c r="D83" s="32">
        <f t="shared" si="11"/>
        <v>3000000</v>
      </c>
      <c r="E83" s="30"/>
      <c r="F83" s="25">
        <f t="shared" si="12"/>
        <v>3000000</v>
      </c>
      <c r="G83" s="33">
        <v>3000000</v>
      </c>
      <c r="H83" s="25"/>
      <c r="I83" s="50"/>
      <c r="J83" s="79"/>
      <c r="K83" s="56">
        <f t="shared" si="13"/>
        <v>0</v>
      </c>
      <c r="L83" s="64"/>
      <c r="M83" s="64"/>
      <c r="N83" s="64"/>
      <c r="O83" s="64">
        <v>80000</v>
      </c>
      <c r="P83" s="64">
        <f>-80000</f>
        <v>-80000</v>
      </c>
      <c r="Q83" s="64"/>
      <c r="R83" s="64">
        <v>1460000</v>
      </c>
      <c r="S83" s="64">
        <v>1460000</v>
      </c>
      <c r="T83" s="64"/>
      <c r="U83" s="64"/>
      <c r="V83" s="64"/>
      <c r="W83" s="64">
        <f>80000</f>
        <v>80000</v>
      </c>
      <c r="X83" s="64">
        <f t="shared" si="14"/>
        <v>3000000</v>
      </c>
      <c r="Y83" s="81">
        <f t="shared" si="9"/>
        <v>0</v>
      </c>
    </row>
    <row r="84" spans="1:25" s="16" customFormat="1" ht="40.5" customHeight="1">
      <c r="A84" s="1"/>
      <c r="B84" s="29"/>
      <c r="C84" s="31" t="s">
        <v>36</v>
      </c>
      <c r="D84" s="32">
        <f t="shared" si="11"/>
        <v>2188000</v>
      </c>
      <c r="E84" s="30"/>
      <c r="F84" s="25">
        <f t="shared" si="12"/>
        <v>2188000</v>
      </c>
      <c r="G84" s="33">
        <f>988000+1200000</f>
        <v>2188000</v>
      </c>
      <c r="H84" s="25">
        <f>286305.66+72060+594.73+601021.9</f>
        <v>959982.29</v>
      </c>
      <c r="I84" s="50">
        <f>H84/D84*100</f>
        <v>43.87487614259598</v>
      </c>
      <c r="J84" s="79">
        <f>H84/(L84+M84+N84+O84+P84)*100</f>
        <v>61.53802489642366</v>
      </c>
      <c r="K84" s="56">
        <f t="shared" si="13"/>
        <v>600000</v>
      </c>
      <c r="L84" s="64"/>
      <c r="M84" s="64">
        <v>400000</v>
      </c>
      <c r="N84" s="64">
        <v>588000</v>
      </c>
      <c r="O84" s="64"/>
      <c r="P84" s="64">
        <f>-28017.71+600000</f>
        <v>571982.29</v>
      </c>
      <c r="Q84" s="64"/>
      <c r="R84" s="64">
        <f>600000</f>
        <v>600000</v>
      </c>
      <c r="S84" s="64"/>
      <c r="T84" s="64"/>
      <c r="U84" s="64"/>
      <c r="V84" s="64"/>
      <c r="W84" s="64">
        <f>28017.71</f>
        <v>28017.71</v>
      </c>
      <c r="X84" s="64">
        <f t="shared" si="14"/>
        <v>2188000</v>
      </c>
      <c r="Y84" s="81">
        <f t="shared" si="9"/>
        <v>0</v>
      </c>
    </row>
    <row r="85" spans="1:25" s="16" customFormat="1" ht="39.75" customHeight="1">
      <c r="A85" s="1"/>
      <c r="B85" s="29"/>
      <c r="C85" s="60" t="s">
        <v>37</v>
      </c>
      <c r="D85" s="32">
        <f t="shared" si="11"/>
        <v>254000</v>
      </c>
      <c r="E85" s="30"/>
      <c r="F85" s="25">
        <f t="shared" si="12"/>
        <v>254000</v>
      </c>
      <c r="G85" s="33">
        <f>314000+940000-1000000</f>
        <v>254000</v>
      </c>
      <c r="H85" s="25">
        <f>72317.85</f>
        <v>72317.85</v>
      </c>
      <c r="I85" s="50">
        <f>H85/D85*100</f>
        <v>28.471594488188977</v>
      </c>
      <c r="J85" s="79">
        <f>H85/(L85+M85+N85+O85+P85)*100</f>
        <v>100</v>
      </c>
      <c r="K85" s="56">
        <f t="shared" si="13"/>
        <v>0</v>
      </c>
      <c r="L85" s="64"/>
      <c r="M85" s="64">
        <v>314000</v>
      </c>
      <c r="N85" s="64">
        <v>-60000</v>
      </c>
      <c r="O85" s="64">
        <f>940000-940000</f>
        <v>0</v>
      </c>
      <c r="P85" s="64">
        <f>-181682.15</f>
        <v>-181682.15</v>
      </c>
      <c r="Q85" s="64"/>
      <c r="R85" s="64"/>
      <c r="S85" s="64"/>
      <c r="T85" s="64"/>
      <c r="U85" s="64"/>
      <c r="V85" s="64"/>
      <c r="W85" s="64">
        <f>181682.15</f>
        <v>181682.15</v>
      </c>
      <c r="X85" s="64">
        <f t="shared" si="14"/>
        <v>254000</v>
      </c>
      <c r="Y85" s="81">
        <f t="shared" si="9"/>
        <v>0</v>
      </c>
    </row>
    <row r="86" spans="1:25" s="16" customFormat="1" ht="39.75" customHeight="1">
      <c r="A86" s="1"/>
      <c r="B86" s="29"/>
      <c r="C86" s="60" t="s">
        <v>99</v>
      </c>
      <c r="D86" s="32">
        <f t="shared" si="11"/>
        <v>16000000</v>
      </c>
      <c r="E86" s="30"/>
      <c r="F86" s="25">
        <f t="shared" si="12"/>
        <v>16000000</v>
      </c>
      <c r="G86" s="33">
        <v>16000000</v>
      </c>
      <c r="H86" s="25">
        <f>13429+7850000</f>
        <v>7863429</v>
      </c>
      <c r="I86" s="50">
        <f>H86/D86*100</f>
        <v>49.14643125</v>
      </c>
      <c r="J86" s="79">
        <f>H86/(L86+M86+N86+O86+P86)*100</f>
        <v>98.07220004988775</v>
      </c>
      <c r="K86" s="56">
        <f t="shared" si="13"/>
        <v>154571</v>
      </c>
      <c r="L86" s="64"/>
      <c r="M86" s="64"/>
      <c r="N86" s="64">
        <f>700000+418000+500000</f>
        <v>1618000</v>
      </c>
      <c r="O86" s="64"/>
      <c r="P86" s="64">
        <f>6400000</f>
        <v>6400000</v>
      </c>
      <c r="Q86" s="64">
        <f>1547800+940000-2487800</f>
        <v>0</v>
      </c>
      <c r="R86" s="64"/>
      <c r="S86" s="64"/>
      <c r="T86" s="65">
        <f>1731585.76-912200</f>
        <v>819385.76</v>
      </c>
      <c r="U86" s="64">
        <f>3000000-3000000</f>
        <v>0</v>
      </c>
      <c r="V86" s="65">
        <v>3741261.78</v>
      </c>
      <c r="W86" s="65">
        <v>3421352.46</v>
      </c>
      <c r="X86" s="64">
        <f t="shared" si="14"/>
        <v>16000000</v>
      </c>
      <c r="Y86" s="81">
        <f aca="true" t="shared" si="15" ref="Y86:Y99">D86-X86</f>
        <v>0</v>
      </c>
    </row>
    <row r="87" spans="1:25" s="16" customFormat="1" ht="22.5" customHeight="1">
      <c r="A87" s="1"/>
      <c r="B87" s="29"/>
      <c r="C87" s="31" t="s">
        <v>38</v>
      </c>
      <c r="D87" s="32">
        <f t="shared" si="11"/>
        <v>137000</v>
      </c>
      <c r="E87" s="30"/>
      <c r="F87" s="25">
        <f t="shared" si="12"/>
        <v>137000</v>
      </c>
      <c r="G87" s="33">
        <f>837000-700000</f>
        <v>137000</v>
      </c>
      <c r="H87" s="25"/>
      <c r="I87" s="50"/>
      <c r="J87" s="79"/>
      <c r="K87" s="56">
        <f t="shared" si="13"/>
        <v>0</v>
      </c>
      <c r="L87" s="64"/>
      <c r="M87" s="64">
        <v>300000</v>
      </c>
      <c r="N87" s="64">
        <f>537000-700000</f>
        <v>-163000</v>
      </c>
      <c r="O87" s="64"/>
      <c r="P87" s="64">
        <f>-137000</f>
        <v>-137000</v>
      </c>
      <c r="Q87" s="64"/>
      <c r="R87" s="64"/>
      <c r="S87" s="64"/>
      <c r="T87" s="64"/>
      <c r="U87" s="64"/>
      <c r="V87" s="64"/>
      <c r="W87" s="64">
        <f>137000</f>
        <v>137000</v>
      </c>
      <c r="X87" s="64">
        <f t="shared" si="14"/>
        <v>137000</v>
      </c>
      <c r="Y87" s="81">
        <f t="shared" si="15"/>
        <v>0</v>
      </c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2"/>
        <v>400000</v>
      </c>
      <c r="G88" s="33">
        <f>900000-500000</f>
        <v>400000</v>
      </c>
      <c r="H88" s="25"/>
      <c r="I88" s="50"/>
      <c r="J88" s="79">
        <f>H88/(L88+M88+N88+O88+P88)*100</f>
        <v>0</v>
      </c>
      <c r="K88" s="56">
        <f t="shared" si="13"/>
        <v>208000</v>
      </c>
      <c r="L88" s="64"/>
      <c r="M88" s="64">
        <v>300000</v>
      </c>
      <c r="N88" s="64">
        <f>600000-500000</f>
        <v>100000</v>
      </c>
      <c r="O88" s="64"/>
      <c r="P88" s="64">
        <f>-192000</f>
        <v>-192000</v>
      </c>
      <c r="Q88" s="64"/>
      <c r="R88" s="64"/>
      <c r="S88" s="64"/>
      <c r="T88" s="64"/>
      <c r="U88" s="64"/>
      <c r="V88" s="64"/>
      <c r="W88" s="64">
        <f>192000</f>
        <v>192000</v>
      </c>
      <c r="X88" s="64">
        <f t="shared" si="14"/>
        <v>400000</v>
      </c>
      <c r="Y88" s="81">
        <f t="shared" si="15"/>
        <v>0</v>
      </c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2"/>
        <v>248000</v>
      </c>
      <c r="G89" s="25">
        <v>248000</v>
      </c>
      <c r="H89" s="25"/>
      <c r="I89" s="50"/>
      <c r="J89" s="79">
        <f>H89/(L89+M89+N89+O89+P89)*100</f>
        <v>0</v>
      </c>
      <c r="K89" s="56">
        <f t="shared" si="13"/>
        <v>81000</v>
      </c>
      <c r="L89" s="64"/>
      <c r="M89" s="64">
        <v>248000</v>
      </c>
      <c r="N89" s="64"/>
      <c r="O89" s="64"/>
      <c r="P89" s="64">
        <f>-167000</f>
        <v>-167000</v>
      </c>
      <c r="Q89" s="64"/>
      <c r="R89" s="64"/>
      <c r="S89" s="64"/>
      <c r="T89" s="64"/>
      <c r="U89" s="64"/>
      <c r="V89" s="64"/>
      <c r="W89" s="64">
        <f>167000</f>
        <v>167000</v>
      </c>
      <c r="X89" s="64">
        <f t="shared" si="14"/>
        <v>248000</v>
      </c>
      <c r="Y89" s="81">
        <f t="shared" si="15"/>
        <v>0</v>
      </c>
    </row>
    <row r="90" spans="1:25" s="16" customFormat="1" ht="40.5" customHeight="1">
      <c r="A90" s="1"/>
      <c r="B90" s="29"/>
      <c r="C90" s="60" t="s">
        <v>100</v>
      </c>
      <c r="D90" s="32">
        <f aca="true" t="shared" si="16" ref="D90:D98">F90</f>
        <v>13000000</v>
      </c>
      <c r="E90" s="6"/>
      <c r="F90" s="25">
        <f t="shared" si="12"/>
        <v>13000000</v>
      </c>
      <c r="G90" s="33">
        <v>13000000</v>
      </c>
      <c r="H90" s="25"/>
      <c r="I90" s="50"/>
      <c r="J90" s="79">
        <f>H90/(L90+M90+N90+O90+P90)*100</f>
        <v>0</v>
      </c>
      <c r="K90" s="56">
        <f t="shared" si="13"/>
        <v>20000</v>
      </c>
      <c r="L90" s="64"/>
      <c r="M90" s="64"/>
      <c r="N90" s="64"/>
      <c r="O90" s="64">
        <v>20000</v>
      </c>
      <c r="P90" s="64"/>
      <c r="Q90" s="64">
        <v>6490000</v>
      </c>
      <c r="R90" s="64"/>
      <c r="S90" s="64">
        <v>6490000</v>
      </c>
      <c r="T90" s="64"/>
      <c r="U90" s="64"/>
      <c r="V90" s="64"/>
      <c r="W90" s="64"/>
      <c r="X90" s="64">
        <f t="shared" si="14"/>
        <v>13000000</v>
      </c>
      <c r="Y90" s="81">
        <f t="shared" si="15"/>
        <v>0</v>
      </c>
    </row>
    <row r="91" spans="1:25" s="16" customFormat="1" ht="40.5" customHeight="1">
      <c r="A91" s="1"/>
      <c r="B91" s="29"/>
      <c r="C91" s="60" t="s">
        <v>101</v>
      </c>
      <c r="D91" s="32">
        <f t="shared" si="16"/>
        <v>400000</v>
      </c>
      <c r="E91" s="6"/>
      <c r="F91" s="25">
        <f t="shared" si="12"/>
        <v>400000</v>
      </c>
      <c r="G91" s="33">
        <v>400000</v>
      </c>
      <c r="H91" s="25">
        <f>109500</f>
        <v>109500</v>
      </c>
      <c r="I91" s="50">
        <f>H91/D91*100</f>
        <v>27.375</v>
      </c>
      <c r="J91" s="79">
        <f>H91/(L91+M91+N91+O91+P91)*100</f>
        <v>91.82187428486903</v>
      </c>
      <c r="K91" s="56">
        <f t="shared" si="13"/>
        <v>9752.630000000005</v>
      </c>
      <c r="L91" s="64"/>
      <c r="M91" s="64"/>
      <c r="N91" s="64"/>
      <c r="O91" s="64"/>
      <c r="P91" s="64">
        <f>120000-747.37</f>
        <v>119252.63</v>
      </c>
      <c r="Q91" s="64">
        <v>140000</v>
      </c>
      <c r="R91" s="64">
        <v>140000</v>
      </c>
      <c r="S91" s="64"/>
      <c r="T91" s="64"/>
      <c r="U91" s="64"/>
      <c r="V91" s="64"/>
      <c r="W91" s="64">
        <f>747.37</f>
        <v>747.37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60" t="s">
        <v>102</v>
      </c>
      <c r="D92" s="32">
        <f t="shared" si="16"/>
        <v>300000</v>
      </c>
      <c r="E92" s="6"/>
      <c r="F92" s="25">
        <f t="shared" si="12"/>
        <v>300000</v>
      </c>
      <c r="G92" s="33">
        <v>300000</v>
      </c>
      <c r="H92" s="25"/>
      <c r="I92" s="50"/>
      <c r="J92" s="79"/>
      <c r="K92" s="56">
        <f t="shared" si="13"/>
        <v>0</v>
      </c>
      <c r="L92" s="64"/>
      <c r="M92" s="64"/>
      <c r="N92" s="64"/>
      <c r="O92" s="64"/>
      <c r="P92" s="64"/>
      <c r="Q92" s="64"/>
      <c r="R92" s="64">
        <v>100000</v>
      </c>
      <c r="S92" s="64">
        <v>100000</v>
      </c>
      <c r="T92" s="64">
        <v>100000</v>
      </c>
      <c r="U92" s="64"/>
      <c r="V92" s="64"/>
      <c r="W92" s="64"/>
      <c r="X92" s="64">
        <f t="shared" si="14"/>
        <v>300000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103</v>
      </c>
      <c r="D93" s="32">
        <f t="shared" si="16"/>
        <v>300000</v>
      </c>
      <c r="E93" s="6"/>
      <c r="F93" s="25">
        <f t="shared" si="12"/>
        <v>300000</v>
      </c>
      <c r="G93" s="33">
        <v>300000</v>
      </c>
      <c r="H93" s="25"/>
      <c r="I93" s="50"/>
      <c r="J93" s="79"/>
      <c r="K93" s="56">
        <f t="shared" si="13"/>
        <v>0</v>
      </c>
      <c r="L93" s="64"/>
      <c r="M93" s="64"/>
      <c r="N93" s="64"/>
      <c r="O93" s="64"/>
      <c r="P93" s="64"/>
      <c r="Q93" s="64"/>
      <c r="R93" s="64"/>
      <c r="S93" s="64">
        <v>100000</v>
      </c>
      <c r="T93" s="64">
        <v>100000</v>
      </c>
      <c r="U93" s="64">
        <v>100000</v>
      </c>
      <c r="V93" s="64"/>
      <c r="W93" s="64"/>
      <c r="X93" s="64">
        <f t="shared" si="14"/>
        <v>300000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104</v>
      </c>
      <c r="D94" s="32">
        <f t="shared" si="16"/>
        <v>538000</v>
      </c>
      <c r="E94" s="6"/>
      <c r="F94" s="25">
        <f t="shared" si="12"/>
        <v>538000</v>
      </c>
      <c r="G94" s="33">
        <v>538000</v>
      </c>
      <c r="H94" s="25"/>
      <c r="I94" s="50"/>
      <c r="J94" s="79"/>
      <c r="K94" s="56">
        <f t="shared" si="13"/>
        <v>0</v>
      </c>
      <c r="L94" s="64"/>
      <c r="M94" s="64"/>
      <c r="N94" s="64"/>
      <c r="O94" s="64"/>
      <c r="P94" s="64"/>
      <c r="Q94" s="64">
        <v>160000</v>
      </c>
      <c r="R94" s="64">
        <v>189000</v>
      </c>
      <c r="S94" s="64">
        <v>189000</v>
      </c>
      <c r="T94" s="64"/>
      <c r="U94" s="64"/>
      <c r="V94" s="64"/>
      <c r="W94" s="64"/>
      <c r="X94" s="64">
        <f t="shared" si="14"/>
        <v>538000</v>
      </c>
      <c r="Y94" s="81">
        <f t="shared" si="15"/>
        <v>0</v>
      </c>
    </row>
    <row r="95" spans="1:25" s="16" customFormat="1" ht="21" customHeight="1">
      <c r="A95" s="1"/>
      <c r="B95" s="29"/>
      <c r="C95" s="60" t="s">
        <v>105</v>
      </c>
      <c r="D95" s="32">
        <f t="shared" si="16"/>
        <v>5000</v>
      </c>
      <c r="E95" s="6"/>
      <c r="F95" s="25">
        <f t="shared" si="12"/>
        <v>5000</v>
      </c>
      <c r="G95" s="33">
        <v>5000</v>
      </c>
      <c r="H95" s="25"/>
      <c r="I95" s="50"/>
      <c r="J95" s="79">
        <f>H95/(L95+M95+N95+O95+P95)*100</f>
        <v>0</v>
      </c>
      <c r="K95" s="56">
        <f t="shared" si="13"/>
        <v>5000</v>
      </c>
      <c r="L95" s="64"/>
      <c r="M95" s="64"/>
      <c r="N95" s="64"/>
      <c r="O95" s="64"/>
      <c r="P95" s="64">
        <v>5000</v>
      </c>
      <c r="Q95" s="64"/>
      <c r="R95" s="64"/>
      <c r="S95" s="64"/>
      <c r="T95" s="64"/>
      <c r="U95" s="64"/>
      <c r="V95" s="64"/>
      <c r="W95" s="64"/>
      <c r="X95" s="64">
        <f t="shared" si="14"/>
        <v>5000</v>
      </c>
      <c r="Y95" s="81">
        <f t="shared" si="15"/>
        <v>0</v>
      </c>
    </row>
    <row r="96" spans="1:25" s="16" customFormat="1" ht="26.25" customHeight="1">
      <c r="A96" s="1"/>
      <c r="B96" s="29"/>
      <c r="C96" s="60" t="s">
        <v>106</v>
      </c>
      <c r="D96" s="32">
        <f t="shared" si="16"/>
        <v>20640</v>
      </c>
      <c r="E96" s="6"/>
      <c r="F96" s="25">
        <f t="shared" si="12"/>
        <v>20640</v>
      </c>
      <c r="G96" s="33">
        <v>20640</v>
      </c>
      <c r="H96" s="25"/>
      <c r="I96" s="50"/>
      <c r="J96" s="79"/>
      <c r="K96" s="56">
        <f t="shared" si="13"/>
        <v>0</v>
      </c>
      <c r="L96" s="64"/>
      <c r="M96" s="64"/>
      <c r="N96" s="64"/>
      <c r="O96" s="64"/>
      <c r="P96" s="64"/>
      <c r="Q96" s="64"/>
      <c r="R96" s="64"/>
      <c r="S96" s="64"/>
      <c r="T96" s="64">
        <v>20640</v>
      </c>
      <c r="U96" s="64"/>
      <c r="V96" s="64"/>
      <c r="W96" s="64"/>
      <c r="X96" s="64">
        <f t="shared" si="14"/>
        <v>20640</v>
      </c>
      <c r="Y96" s="81">
        <f t="shared" si="15"/>
        <v>0</v>
      </c>
    </row>
    <row r="97" spans="1:25" s="16" customFormat="1" ht="22.5" customHeight="1">
      <c r="A97" s="1"/>
      <c r="B97" s="29"/>
      <c r="C97" s="61" t="s">
        <v>107</v>
      </c>
      <c r="D97" s="32">
        <f t="shared" si="16"/>
        <v>250000</v>
      </c>
      <c r="E97" s="6"/>
      <c r="F97" s="25">
        <f t="shared" si="12"/>
        <v>250000</v>
      </c>
      <c r="G97" s="33">
        <v>250000</v>
      </c>
      <c r="H97" s="25"/>
      <c r="I97" s="50"/>
      <c r="J97" s="79"/>
      <c r="K97" s="56">
        <f t="shared" si="13"/>
        <v>0</v>
      </c>
      <c r="L97" s="64"/>
      <c r="M97" s="64"/>
      <c r="N97" s="64"/>
      <c r="O97" s="64"/>
      <c r="P97" s="64"/>
      <c r="Q97" s="64"/>
      <c r="R97" s="64"/>
      <c r="S97" s="64"/>
      <c r="T97" s="64">
        <v>250000</v>
      </c>
      <c r="U97" s="64"/>
      <c r="V97" s="64"/>
      <c r="W97" s="64"/>
      <c r="X97" s="64">
        <f t="shared" si="14"/>
        <v>250000</v>
      </c>
      <c r="Y97" s="81">
        <f t="shared" si="15"/>
        <v>0</v>
      </c>
    </row>
    <row r="98" spans="1:25" s="16" customFormat="1" ht="22.5" customHeight="1">
      <c r="A98" s="1"/>
      <c r="B98" s="29"/>
      <c r="C98" s="60" t="s">
        <v>108</v>
      </c>
      <c r="D98" s="32">
        <f t="shared" si="16"/>
        <v>2050000</v>
      </c>
      <c r="E98" s="6"/>
      <c r="F98" s="25">
        <f t="shared" si="12"/>
        <v>2050000</v>
      </c>
      <c r="G98" s="33">
        <f>50000+2000000</f>
        <v>2050000</v>
      </c>
      <c r="H98" s="25"/>
      <c r="I98" s="50"/>
      <c r="J98" s="79"/>
      <c r="K98" s="56">
        <f t="shared" si="13"/>
        <v>0</v>
      </c>
      <c r="L98" s="64"/>
      <c r="M98" s="64"/>
      <c r="N98" s="64"/>
      <c r="O98" s="64"/>
      <c r="P98" s="64"/>
      <c r="Q98" s="64"/>
      <c r="R98" s="64"/>
      <c r="S98" s="64"/>
      <c r="T98" s="64">
        <v>50000</v>
      </c>
      <c r="U98" s="64"/>
      <c r="V98" s="64"/>
      <c r="W98" s="64"/>
      <c r="X98" s="64">
        <f t="shared" si="14"/>
        <v>50000</v>
      </c>
      <c r="Y98" s="81">
        <f t="shared" si="15"/>
        <v>2000000</v>
      </c>
    </row>
    <row r="99" spans="1:25" ht="18">
      <c r="A99" s="34"/>
      <c r="B99" s="18"/>
      <c r="C99" s="35" t="s">
        <v>10</v>
      </c>
      <c r="D99" s="20">
        <f>D8+D49</f>
        <v>196494938.86</v>
      </c>
      <c r="E99" s="20">
        <f>E8+E49</f>
        <v>31136618.86</v>
      </c>
      <c r="F99" s="20">
        <f>F8+F49</f>
        <v>165358320</v>
      </c>
      <c r="G99" s="20">
        <f>G8+G49</f>
        <v>165358320</v>
      </c>
      <c r="H99" s="20">
        <f>H8+H49</f>
        <v>39693878.61</v>
      </c>
      <c r="I99" s="48">
        <f>H99/D99*100</f>
        <v>20.200967434729375</v>
      </c>
      <c r="J99" s="79">
        <f>H99/(L99+M99+N99+O99+P99)*100</f>
        <v>54.56505357249263</v>
      </c>
      <c r="K99" s="56">
        <f t="shared" si="13"/>
        <v>33052093.42</v>
      </c>
      <c r="L99" s="20">
        <f aca="true" t="shared" si="17" ref="L99:X99">L8+L23+L50</f>
        <v>112816</v>
      </c>
      <c r="M99" s="20">
        <f t="shared" si="17"/>
        <v>3716000</v>
      </c>
      <c r="N99" s="20">
        <f t="shared" si="17"/>
        <v>13424000</v>
      </c>
      <c r="O99" s="20">
        <f t="shared" si="17"/>
        <v>23627301.990000002</v>
      </c>
      <c r="P99" s="20">
        <f t="shared" si="17"/>
        <v>31865854.04</v>
      </c>
      <c r="Q99" s="20">
        <f t="shared" si="17"/>
        <v>23707365.38</v>
      </c>
      <c r="R99" s="20">
        <f t="shared" si="17"/>
        <v>35418376.620000005</v>
      </c>
      <c r="S99" s="20">
        <f t="shared" si="17"/>
        <v>15757741.26</v>
      </c>
      <c r="T99" s="20">
        <f t="shared" si="17"/>
        <v>6501848.61</v>
      </c>
      <c r="U99" s="20">
        <f t="shared" si="17"/>
        <v>14278075.48</v>
      </c>
      <c r="V99" s="20">
        <f t="shared" si="17"/>
        <v>14662030.19</v>
      </c>
      <c r="W99" s="20">
        <f t="shared" si="17"/>
        <v>10143529.29</v>
      </c>
      <c r="X99" s="20">
        <f t="shared" si="17"/>
        <v>193214938.86</v>
      </c>
      <c r="Y99" s="81">
        <f t="shared" si="15"/>
        <v>3280000</v>
      </c>
    </row>
    <row r="100" spans="1:11" ht="18" hidden="1">
      <c r="A100" s="39" t="s">
        <v>39</v>
      </c>
      <c r="B100" s="40"/>
      <c r="C100" s="41"/>
      <c r="D100" s="42"/>
      <c r="E100" s="42"/>
      <c r="F100" s="42"/>
      <c r="G100" s="42"/>
      <c r="K100" s="56">
        <f>L100+M100+N100-H100</f>
        <v>0</v>
      </c>
    </row>
    <row r="101" spans="1:11" ht="18" hidden="1">
      <c r="A101" s="2"/>
      <c r="B101" s="36"/>
      <c r="C101" s="37"/>
      <c r="D101" s="3"/>
      <c r="E101" s="36"/>
      <c r="F101" s="36"/>
      <c r="K101" s="56">
        <f>L101+M101+N101-H101</f>
        <v>0</v>
      </c>
    </row>
  </sheetData>
  <sheetProtection/>
  <mergeCells count="26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8:I48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2016-05-20T12:04:39Z</dcterms:modified>
  <cp:category/>
  <cp:version/>
  <cp:contentType/>
  <cp:contentStatus/>
</cp:coreProperties>
</file>